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070" activeTab="0"/>
  </bookViews>
  <sheets>
    <sheet name="Пенсионный пла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Обязательное пенсионное страхование</t>
        </r>
      </text>
    </commen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Добровольное пенсионное страхование (с гос стимулированием)</t>
        </r>
      </text>
    </comment>
  </commentList>
</comments>
</file>

<file path=xl/sharedStrings.xml><?xml version="1.0" encoding="utf-8"?>
<sst xmlns="http://schemas.openxmlformats.org/spreadsheetml/2006/main" count="25" uniqueCount="24">
  <si>
    <t>Пенсионный план</t>
  </si>
  <si>
    <t>www.myrichway.ru</t>
  </si>
  <si>
    <t>Ваш пол</t>
  </si>
  <si>
    <t>Возраст, в котором вы планируете закончить работать</t>
  </si>
  <si>
    <t>Ежегодный рост зарплаты, %</t>
  </si>
  <si>
    <t>муж</t>
  </si>
  <si>
    <t>жен</t>
  </si>
  <si>
    <t>Желаемый размер ежемесячной пенсии, руб</t>
  </si>
  <si>
    <t>Ваш возраст, лет</t>
  </si>
  <si>
    <t>Ваш текущий пенсионный капитал, руб</t>
  </si>
  <si>
    <t>Размер вашей "белой" зарплаты, руб</t>
  </si>
  <si>
    <t>Доходность пенсионных вложений, %</t>
  </si>
  <si>
    <t>НЕОБХОДИМЫЙ КАПИТАЛ:</t>
  </si>
  <si>
    <t>ОПС:</t>
  </si>
  <si>
    <t>ПЕРВОНАЧАЛЬНЫЙ КАПИТАЛ:</t>
  </si>
  <si>
    <t>ДПС:</t>
  </si>
  <si>
    <t>Вспомогательные расчеты</t>
  </si>
  <si>
    <t>ОПС накопл</t>
  </si>
  <si>
    <t>ДПС накопл</t>
  </si>
  <si>
    <t>Кап</t>
  </si>
  <si>
    <t>Лет до пенсии</t>
  </si>
  <si>
    <t>Лет до оф пенсии</t>
  </si>
  <si>
    <t>Безрисковая доходность, %</t>
  </si>
  <si>
    <t>НЕОБХОДИМЫЙ ЛИЧНЫЙ КАПИТАЛ: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</si>
</sst>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  <numFmt numFmtId="170" formatCode="[$-419]mmmm\ yyyy;@"/>
    <numFmt numFmtId="171" formatCode="0.0"/>
    <numFmt numFmtId="172" formatCode="dd/mm/yy;@"/>
    <numFmt numFmtId="173" formatCode="mmm/yyyy"/>
    <numFmt numFmtId="174" formatCode="#,##0.0"/>
    <numFmt numFmtId="175" formatCode="#,##0.0000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2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15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5" fillId="0" borderId="6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9" fontId="6" fillId="0" borderId="10" xfId="19" applyFont="1" applyBorder="1" applyAlignment="1">
      <alignment horizontal="center"/>
    </xf>
    <xf numFmtId="9" fontId="6" fillId="0" borderId="11" xfId="19" applyFont="1" applyBorder="1" applyAlignment="1">
      <alignment horizontal="center"/>
    </xf>
    <xf numFmtId="2" fontId="5" fillId="0" borderId="12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177" fontId="0" fillId="0" borderId="0" xfId="2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0" fillId="0" borderId="0" xfId="20" applyNumberFormat="1" applyFont="1" applyAlignment="1">
      <alignment/>
    </xf>
    <xf numFmtId="178" fontId="9" fillId="0" borderId="13" xfId="2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ichway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0"/>
  <sheetViews>
    <sheetView tabSelected="1" workbookViewId="0" topLeftCell="C4">
      <selection activeCell="D7" sqref="D7"/>
    </sheetView>
  </sheetViews>
  <sheetFormatPr defaultColWidth="9.00390625" defaultRowHeight="12.75"/>
  <cols>
    <col min="1" max="1" width="5.00390625" style="0" hidden="1" customWidth="1"/>
    <col min="2" max="2" width="6.625" style="0" hidden="1" customWidth="1"/>
    <col min="3" max="3" width="20.25390625" style="0" customWidth="1"/>
    <col min="4" max="5" width="20.75390625" style="0" customWidth="1"/>
    <col min="6" max="6" width="18.875" style="0" bestFit="1" customWidth="1"/>
    <col min="7" max="7" width="19.625" style="0" customWidth="1"/>
    <col min="8" max="8" width="4.75390625" style="0" bestFit="1" customWidth="1"/>
    <col min="9" max="9" width="10.25390625" style="0" hidden="1" customWidth="1"/>
    <col min="10" max="10" width="13.375" style="0" hidden="1" customWidth="1"/>
    <col min="11" max="11" width="16.25390625" style="0" hidden="1" customWidth="1"/>
    <col min="12" max="13" width="0" style="0" hidden="1" customWidth="1"/>
  </cols>
  <sheetData>
    <row r="1" spans="3:8" ht="18">
      <c r="C1" s="1" t="s">
        <v>0</v>
      </c>
      <c r="D1" s="2"/>
      <c r="E1" s="2"/>
      <c r="F1" s="2"/>
      <c r="G1" s="2"/>
      <c r="H1" s="2"/>
    </row>
    <row r="2" spans="3:8" ht="12.75">
      <c r="C2" s="3" t="s">
        <v>1</v>
      </c>
      <c r="D2" s="2"/>
      <c r="E2" s="2"/>
      <c r="F2" s="2"/>
      <c r="G2" s="2"/>
      <c r="H2" s="2"/>
    </row>
    <row r="3" spans="3:8" ht="12.75">
      <c r="C3" s="6"/>
      <c r="D3" s="4"/>
      <c r="E3" s="4"/>
      <c r="F3" s="4"/>
      <c r="G3" s="4"/>
      <c r="H3" s="2"/>
    </row>
    <row r="4" spans="3:13" ht="13.5" thickBot="1">
      <c r="C4" s="9"/>
      <c r="D4" s="9"/>
      <c r="E4" s="9"/>
      <c r="F4" s="9"/>
      <c r="G4" s="9"/>
      <c r="H4" s="5"/>
      <c r="J4" s="25" t="s">
        <v>16</v>
      </c>
      <c r="K4" s="25"/>
      <c r="L4" s="25"/>
      <c r="M4" s="25"/>
    </row>
    <row r="5" spans="3:11" ht="38.25" customHeight="1">
      <c r="C5" s="10" t="s">
        <v>7</v>
      </c>
      <c r="D5" s="11" t="s">
        <v>8</v>
      </c>
      <c r="E5" s="11" t="s">
        <v>2</v>
      </c>
      <c r="F5" s="12" t="s">
        <v>3</v>
      </c>
      <c r="G5" s="12"/>
      <c r="J5" t="s">
        <v>20</v>
      </c>
      <c r="K5" t="s">
        <v>21</v>
      </c>
    </row>
    <row r="6" spans="1:11" ht="13.5" thickBot="1">
      <c r="A6" t="s">
        <v>5</v>
      </c>
      <c r="B6">
        <v>60</v>
      </c>
      <c r="C6" s="13">
        <v>150000</v>
      </c>
      <c r="D6" s="14">
        <v>26</v>
      </c>
      <c r="E6" s="14" t="s">
        <v>5</v>
      </c>
      <c r="F6" s="15">
        <v>50</v>
      </c>
      <c r="G6" s="15"/>
      <c r="J6" s="22">
        <f>F6-D6</f>
        <v>24</v>
      </c>
      <c r="K6" s="22">
        <f>VLOOKUP(E6,A6:B7,2,0)-D6</f>
        <v>34</v>
      </c>
    </row>
    <row r="7" spans="1:7" ht="13.5" thickBot="1">
      <c r="A7" t="s">
        <v>6</v>
      </c>
      <c r="B7">
        <v>55</v>
      </c>
      <c r="C7" s="8"/>
      <c r="D7" s="9"/>
      <c r="E7" s="9"/>
      <c r="F7" s="7"/>
      <c r="G7" s="7"/>
    </row>
    <row r="8" spans="3:12" ht="36.75" customHeight="1">
      <c r="C8" s="10" t="s">
        <v>10</v>
      </c>
      <c r="D8" s="11" t="s">
        <v>4</v>
      </c>
      <c r="E8" s="11" t="s">
        <v>9</v>
      </c>
      <c r="F8" s="12" t="s">
        <v>11</v>
      </c>
      <c r="G8" s="12" t="s">
        <v>22</v>
      </c>
      <c r="J8" t="s">
        <v>17</v>
      </c>
      <c r="K8" t="s">
        <v>18</v>
      </c>
      <c r="L8" t="s">
        <v>19</v>
      </c>
    </row>
    <row r="9" spans="2:12" ht="13.5" thickBot="1">
      <c r="B9" s="19">
        <v>0.06</v>
      </c>
      <c r="C9" s="13">
        <v>50000</v>
      </c>
      <c r="D9" s="16">
        <v>0.1</v>
      </c>
      <c r="E9" s="14">
        <v>50000</v>
      </c>
      <c r="F9" s="17">
        <v>0.15</v>
      </c>
      <c r="G9" s="17">
        <v>0.06</v>
      </c>
      <c r="J9">
        <f>ОПС(C9*B9,MIN(F6,VLOOKUP(E6,A6:B7,2,0))-D6,D9,F9)</f>
        <v>1295505.6025566545</v>
      </c>
      <c r="K9">
        <f>-ДПС(K6,F9,MIN(J6,10))</f>
        <v>560382.6233702552</v>
      </c>
      <c r="L9">
        <f>ROUND(((D16)*((F9+1)^(1/12)-1))/(((1+((F9+1)^(1/12)-1))^(J6*12)-1)*(1+((F9+1)^(1/12)-1))),0)</f>
        <v>7592</v>
      </c>
    </row>
    <row r="10" spans="3:11" ht="12.75">
      <c r="C10" s="9"/>
      <c r="D10" s="9"/>
      <c r="E10" s="9"/>
      <c r="F10" s="9"/>
      <c r="G10" s="9"/>
      <c r="I10" s="20"/>
      <c r="J10" s="23"/>
      <c r="K10" s="20"/>
    </row>
    <row r="11" spans="9:11" ht="13.5" thickBot="1">
      <c r="I11" s="20"/>
      <c r="J11" s="23"/>
      <c r="K11" s="20"/>
    </row>
    <row r="12" spans="3:11" ht="24.75" thickBot="1">
      <c r="C12" s="18" t="s">
        <v>12</v>
      </c>
      <c r="D12" s="24">
        <f>C6*12/G9</f>
        <v>30000000</v>
      </c>
      <c r="F12" s="26" t="str">
        <f>CONCATENATE("В ближайшие ",MIN(J6,10)," лет Вам необходимо ежемесячно вкладывать 1 000 рублей в Пенсионный фонд и ",L9," рублей в личный пенсионный капитал.",IF(J6&gt;10,CONCATENATE(" А в следующие ",J6-10," лет Вам необходимо ежемесячно вкладывать ",L9," рублей в личный пенсионный капитал."),""))</f>
        <v>В ближайшие 10 лет Вам необходимо ежемесячно вкладывать 1 000 рублей в Пенсионный фонд и 7592 рублей в личный пенсионный капитал. А в следующие 14 лет Вам необходимо ежемесячно вкладывать 7592 рублей в личный пенсионный капитал.</v>
      </c>
      <c r="G12" s="27"/>
      <c r="I12" s="20"/>
      <c r="J12" s="23"/>
      <c r="K12" s="20"/>
    </row>
    <row r="13" spans="3:11" ht="28.5" customHeight="1" thickBot="1">
      <c r="C13" s="18" t="s">
        <v>14</v>
      </c>
      <c r="D13" s="24">
        <f>E9*(1+F9)^(J6)</f>
        <v>1431258.8095560698</v>
      </c>
      <c r="F13" s="28"/>
      <c r="G13" s="29"/>
      <c r="I13" s="20"/>
      <c r="J13" s="20"/>
      <c r="K13" s="20"/>
    </row>
    <row r="14" spans="3:11" ht="27.75" customHeight="1" thickBot="1">
      <c r="C14" s="18" t="s">
        <v>13</v>
      </c>
      <c r="D14" s="24">
        <f>J9*(1+F9)^(((F6-VLOOKUP(E6,A6:B7,2,0))*(F6&gt;=VLOOKUP(E6,A6:B7,2,0)))+((VLOOKUP(E6,A6:B7,2,0)-F6)*(F6&lt;VLOOKUP(E6,A6:B7,2,0))))</f>
        <v>5241042.712076006</v>
      </c>
      <c r="F14" s="28"/>
      <c r="G14" s="29"/>
      <c r="H14" s="20"/>
      <c r="I14" s="20"/>
      <c r="J14" s="20"/>
      <c r="K14" s="20"/>
    </row>
    <row r="15" spans="3:11" ht="26.25" customHeight="1" thickBot="1">
      <c r="C15" s="18" t="s">
        <v>15</v>
      </c>
      <c r="D15" s="24">
        <f>K9*(1+F9)^((IF(AND(J6&gt;=K6,J6&lt;=10),0,IF(AND(J6&gt;=K6,J6&gt;10),J6-10,0)))+(IF(AND(J6&lt;K6,J6&lt;=10),K6-J6,IF(AND(J6&lt;K6,J6&gt;10),K6-10,0))))</f>
        <v>16041051.328416377</v>
      </c>
      <c r="F15" s="28"/>
      <c r="G15" s="29"/>
      <c r="I15" s="20"/>
      <c r="J15" s="20"/>
      <c r="K15" s="20"/>
    </row>
    <row r="16" spans="3:11" ht="33" customHeight="1" thickBot="1">
      <c r="C16" s="18" t="s">
        <v>23</v>
      </c>
      <c r="D16" s="24">
        <f>(D12-D13-D14-D15)*((D12-D13-D14-D15)&gt;0)*(J6&gt;=K6)+(ЛПК(C6*12,D12-D13-D14-D15,G9,K6-J6))*(J6&lt;K6)</f>
        <v>18111871.803855613</v>
      </c>
      <c r="F16" s="30"/>
      <c r="G16" s="31"/>
      <c r="I16" s="20"/>
      <c r="J16" s="20"/>
      <c r="K16" s="20"/>
    </row>
    <row r="17" spans="5:11" ht="12.75">
      <c r="E17" s="21"/>
      <c r="I17" s="20"/>
      <c r="J17" s="20"/>
      <c r="K17" s="20"/>
    </row>
    <row r="18" spans="9:11" ht="12.75">
      <c r="I18" s="20"/>
      <c r="J18" s="20"/>
      <c r="K18" s="20"/>
    </row>
    <row r="19" spans="9:11" ht="12.75">
      <c r="I19" s="20"/>
      <c r="J19" s="20"/>
      <c r="K19" s="20"/>
    </row>
    <row r="20" spans="9:11" ht="12.75">
      <c r="I20" s="20"/>
      <c r="J20" s="20"/>
      <c r="K20" s="20"/>
    </row>
  </sheetData>
  <mergeCells count="2">
    <mergeCell ref="J4:M4"/>
    <mergeCell ref="F12:G16"/>
  </mergeCells>
  <dataValidations count="3">
    <dataValidation type="whole" allowBlank="1" showInputMessage="1" showErrorMessage="1" errorTitle="ОШИБКА!" error="Вы уже на пенсии? Тогда зачем Вам калькулятор?&#10;Пожалуйста, введите планируемый возраст выхода на пенсию." sqref="F6">
      <formula1>D6</formula1>
      <formula2>150</formula2>
    </dataValidation>
    <dataValidation type="list" allowBlank="1" showInputMessage="1" showErrorMessage="1" errorTitle="ОШИБКА!" error="Выберите пол из выпадающего списка" sqref="E6">
      <formula1>$A$6:$A$7</formula1>
    </dataValidation>
    <dataValidation type="whole" allowBlank="1" showInputMessage="1" showErrorMessage="1" errorTitle="ОШИБКА!" error="Столько не живут! Пожалуйста, введите Ваш реальный возраст." sqref="D6">
      <formula1>1</formula1>
      <formula2>150</formula2>
    </dataValidation>
  </dataValidations>
  <hyperlinks>
    <hyperlink ref="C2" r:id="rId1" display="www.myrichway.ru"/>
  </hyperlinks>
  <printOptions/>
  <pageMargins left="0.75" right="0.75" top="1" bottom="1" header="0.5" footer="0.5"/>
  <pageSetup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2008-06-13T14:43:36Z</dcterms:created>
  <dcterms:modified xsi:type="dcterms:W3CDTF">2008-07-14T17:19:41Z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